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4\spr. 77 Robot chirurgiczny\"/>
    </mc:Choice>
  </mc:AlternateContent>
  <xr:revisionPtr revIDLastSave="0" documentId="13_ncr:1_{7232C240-8280-466E-9360-941A7BCD1FD0}" xr6:coauthVersionLast="47" xr6:coauthVersionMax="47" xr10:uidLastSave="{00000000-0000-0000-0000-000000000000}"/>
  <bookViews>
    <workbookView xWindow="-120" yWindow="-120" windowWidth="29040" windowHeight="15840" xr2:uid="{746646C5-0752-4E6B-ADD0-49A6CCC02E4E}"/>
  </bookViews>
  <sheets>
    <sheet name="Formularz cenowy I&amp;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J29" i="1"/>
  <c r="L29" i="1" s="1"/>
  <c r="J26" i="1"/>
  <c r="J25" i="1"/>
  <c r="L25" i="1" s="1"/>
  <c r="D21" i="1"/>
  <c r="M21" i="1" s="1"/>
  <c r="D34" i="1"/>
  <c r="D35" i="1" s="1"/>
  <c r="D31" i="1"/>
  <c r="M31" i="1" s="1"/>
  <c r="D24" i="1"/>
  <c r="D23" i="1"/>
  <c r="M23" i="1" s="1"/>
  <c r="D22" i="1"/>
  <c r="M22" i="1" s="1"/>
  <c r="D20" i="1"/>
  <c r="M20" i="1" s="1"/>
  <c r="D19" i="1"/>
  <c r="M19" i="1" s="1"/>
  <c r="D18" i="1"/>
  <c r="D27" i="1" s="1"/>
  <c r="D17" i="1"/>
  <c r="M17" i="1" s="1"/>
  <c r="D16" i="1"/>
  <c r="M16" i="1" s="1"/>
  <c r="D4" i="1"/>
  <c r="M4" i="1" s="1"/>
  <c r="I21" i="1"/>
  <c r="I32" i="1"/>
  <c r="M34" i="1"/>
  <c r="I18" i="1"/>
  <c r="I44" i="1"/>
  <c r="J43" i="1"/>
  <c r="L43" i="1" s="1"/>
  <c r="I43" i="1"/>
  <c r="J42" i="1"/>
  <c r="L42" i="1" s="1"/>
  <c r="I42" i="1"/>
  <c r="J41" i="1"/>
  <c r="L41" i="1" s="1"/>
  <c r="I41" i="1"/>
  <c r="I40" i="1"/>
  <c r="I39" i="1"/>
  <c r="I38" i="1"/>
  <c r="I37" i="1"/>
  <c r="I36" i="1"/>
  <c r="I35" i="1"/>
  <c r="I34" i="1"/>
  <c r="I31" i="1"/>
  <c r="J31" i="1"/>
  <c r="L31" i="1" s="1"/>
  <c r="I30" i="1"/>
  <c r="I29" i="1"/>
  <c r="I28" i="1"/>
  <c r="I27" i="1"/>
  <c r="L26" i="1"/>
  <c r="I26" i="1"/>
  <c r="I25" i="1"/>
  <c r="J24" i="1"/>
  <c r="L24" i="1" s="1"/>
  <c r="I24" i="1"/>
  <c r="I23" i="1"/>
  <c r="I22" i="1"/>
  <c r="I20" i="1"/>
  <c r="I19" i="1"/>
  <c r="I17" i="1"/>
  <c r="I16" i="1"/>
  <c r="I14" i="1"/>
  <c r="I13" i="1"/>
  <c r="I12" i="1"/>
  <c r="J11" i="1"/>
  <c r="L11" i="1" s="1"/>
  <c r="I11" i="1"/>
  <c r="J10" i="1"/>
  <c r="L10" i="1" s="1"/>
  <c r="I10" i="1"/>
  <c r="J9" i="1"/>
  <c r="L9" i="1" s="1"/>
  <c r="I9" i="1"/>
  <c r="I8" i="1"/>
  <c r="I7" i="1"/>
  <c r="I6" i="1"/>
  <c r="I5" i="1"/>
  <c r="J18" i="1" l="1"/>
  <c r="L18" i="1" s="1"/>
  <c r="M18" i="1"/>
  <c r="J23" i="1"/>
  <c r="D36" i="1"/>
  <c r="M35" i="1"/>
  <c r="M27" i="1"/>
  <c r="J27" i="1"/>
  <c r="L27" i="1" s="1"/>
  <c r="D29" i="1"/>
  <c r="J19" i="1"/>
  <c r="L19" i="1" s="1"/>
  <c r="D28" i="1"/>
  <c r="M28" i="1" s="1"/>
  <c r="D26" i="1"/>
  <c r="D25" i="1"/>
  <c r="D30" i="1"/>
  <c r="M30" i="1" s="1"/>
  <c r="D32" i="1"/>
  <c r="M32" i="1" s="1"/>
  <c r="J21" i="1"/>
  <c r="L21" i="1" s="1"/>
  <c r="D5" i="1"/>
  <c r="J17" i="1"/>
  <c r="L17" i="1" s="1"/>
  <c r="J16" i="1"/>
  <c r="L16" i="1" s="1"/>
  <c r="J4" i="1"/>
  <c r="J20" i="1"/>
  <c r="L20" i="1" s="1"/>
  <c r="L23" i="1"/>
  <c r="L4" i="1" l="1"/>
  <c r="J28" i="1"/>
  <c r="L28" i="1" s="1"/>
  <c r="J30" i="1"/>
  <c r="L30" i="1" s="1"/>
  <c r="J32" i="1"/>
  <c r="L32" i="1" s="1"/>
  <c r="D37" i="1"/>
  <c r="M36" i="1"/>
  <c r="D6" i="1"/>
  <c r="M5" i="1"/>
  <c r="J5" i="1"/>
  <c r="L5" i="1" s="1"/>
  <c r="J22" i="1"/>
  <c r="L22" i="1" s="1"/>
  <c r="J35" i="1"/>
  <c r="L35" i="1" s="1"/>
  <c r="J34" i="1"/>
  <c r="L34" i="1" s="1"/>
  <c r="J36" i="1"/>
  <c r="L36" i="1" s="1"/>
  <c r="D38" i="1" l="1"/>
  <c r="M37" i="1"/>
  <c r="J37" i="1"/>
  <c r="L37" i="1" s="1"/>
  <c r="D7" i="1"/>
  <c r="J6" i="1"/>
  <c r="L6" i="1" s="1"/>
  <c r="M6" i="1"/>
  <c r="D39" i="1" l="1"/>
  <c r="M38" i="1"/>
  <c r="J38" i="1"/>
  <c r="L38" i="1" s="1"/>
  <c r="M7" i="1"/>
  <c r="D8" i="1"/>
  <c r="J7" i="1"/>
  <c r="M39" i="1" l="1"/>
  <c r="D40" i="1"/>
  <c r="J39" i="1"/>
  <c r="L39" i="1" s="1"/>
  <c r="L7" i="1"/>
  <c r="D9" i="1"/>
  <c r="D10" i="1" s="1"/>
  <c r="D11" i="1" s="1"/>
  <c r="D12" i="1" s="1"/>
  <c r="M8" i="1"/>
  <c r="J8" i="1"/>
  <c r="L8" i="1" s="1"/>
  <c r="M40" i="1" l="1"/>
  <c r="D41" i="1"/>
  <c r="D42" i="1" s="1"/>
  <c r="D43" i="1" s="1"/>
  <c r="D44" i="1" s="1"/>
  <c r="J40" i="1"/>
  <c r="L40" i="1" s="1"/>
  <c r="M12" i="1"/>
  <c r="J12" i="1"/>
  <c r="D13" i="1"/>
  <c r="M44" i="1" l="1"/>
  <c r="J44" i="1"/>
  <c r="J13" i="1"/>
  <c r="L13" i="1" s="1"/>
  <c r="M13" i="1"/>
  <c r="D14" i="1"/>
  <c r="L12" i="1"/>
  <c r="L44" i="1" l="1"/>
  <c r="J14" i="1"/>
  <c r="J45" i="1" s="1"/>
  <c r="M14" i="1"/>
  <c r="L14" i="1" l="1"/>
  <c r="L45" i="1" s="1"/>
</calcChain>
</file>

<file path=xl/sharedStrings.xml><?xml version="1.0" encoding="utf-8"?>
<sst xmlns="http://schemas.openxmlformats.org/spreadsheetml/2006/main" count="180" uniqueCount="90">
  <si>
    <t>Lp.</t>
  </si>
  <si>
    <t>Asortyment</t>
  </si>
  <si>
    <t>Jednostka miary</t>
  </si>
  <si>
    <t>Ilość zabiegów</t>
  </si>
  <si>
    <t xml:space="preserve">Cena jedn. netto </t>
  </si>
  <si>
    <t>Stawka podatku VAT</t>
  </si>
  <si>
    <t xml:space="preserve">Cena jedn. brutto </t>
  </si>
  <si>
    <t>Wartość netto</t>
  </si>
  <si>
    <t>Wartość brutto</t>
  </si>
  <si>
    <t>Ilość szt./opakowań</t>
  </si>
  <si>
    <t>komplet</t>
  </si>
  <si>
    <t>-</t>
  </si>
  <si>
    <t>2.1</t>
  </si>
  <si>
    <t>Narzędzie monopolarne – nożyczki zakrzywione monopolarne</t>
  </si>
  <si>
    <t>szt. / op.</t>
  </si>
  <si>
    <t>wielorazowe, 10 użyć</t>
  </si>
  <si>
    <t>2.2</t>
  </si>
  <si>
    <t>Narzędzie bipolarne – typu Maryland</t>
  </si>
  <si>
    <t>wielorazowe, 14 użyć</t>
  </si>
  <si>
    <t>2.3</t>
  </si>
  <si>
    <t>Narzędzie retraktujące tkankę – typu Prograsp</t>
  </si>
  <si>
    <t>wielorazowe, 18 użyć</t>
  </si>
  <si>
    <t>2.4</t>
  </si>
  <si>
    <t>Imadło – large needle driver</t>
  </si>
  <si>
    <t>wielorazowe, 15 użyć</t>
  </si>
  <si>
    <t>2.5</t>
  </si>
  <si>
    <t xml:space="preserve">Osłona nożyc monopolarnych </t>
  </si>
  <si>
    <t>jednorazowe</t>
  </si>
  <si>
    <t>2.6</t>
  </si>
  <si>
    <t xml:space="preserve">Wielorazowy obturator 8 mm długości 10 cm </t>
  </si>
  <si>
    <t>wielorazowe, bez ograniczeń</t>
  </si>
  <si>
    <t>2.7</t>
  </si>
  <si>
    <t xml:space="preserve">Monopolarny kabel do diatermii </t>
  </si>
  <si>
    <t>2.8</t>
  </si>
  <si>
    <t xml:space="preserve">Bipolarny kabel do diatermii </t>
  </si>
  <si>
    <t>2.9</t>
  </si>
  <si>
    <t xml:space="preserve">Sterylne, jednorazowe obłożenia ramion robotycznych  </t>
  </si>
  <si>
    <t>2.10</t>
  </si>
  <si>
    <t xml:space="preserve">Sterylne, jednorazowe obłożenie przedłużenia ramienia robotycznego </t>
  </si>
  <si>
    <t>2.11</t>
  </si>
  <si>
    <t xml:space="preserve">Sterylne, jednorazowe uszczelki do kaniul 8mm </t>
  </si>
  <si>
    <t>3.1</t>
  </si>
  <si>
    <t>szt./op.</t>
  </si>
  <si>
    <t>Narzędzie retraktor jelitowy Tip-Up</t>
  </si>
  <si>
    <t>3.3</t>
  </si>
  <si>
    <t xml:space="preserve">Narzędzie bipolarne – okienko bipolarne </t>
  </si>
  <si>
    <t>3.4</t>
  </si>
  <si>
    <t xml:space="preserve">Stapler 60/45 </t>
  </si>
  <si>
    <t>3.5</t>
  </si>
  <si>
    <t>Osłona nożyc monopolarnych</t>
  </si>
  <si>
    <t>3.6</t>
  </si>
  <si>
    <t>Magazynki do stapler 60/45                                          (szary,biały,niebieski,zielony,czarny)</t>
  </si>
  <si>
    <t>3.7</t>
  </si>
  <si>
    <t>3.8</t>
  </si>
  <si>
    <t>3.9</t>
  </si>
  <si>
    <t>3.10</t>
  </si>
  <si>
    <t xml:space="preserve">Sterylne, jednorazowe obłożenia ramion robotycznych </t>
  </si>
  <si>
    <t>3.11</t>
  </si>
  <si>
    <t>Obturator staplerowy 12mm</t>
  </si>
  <si>
    <t>Uszczelka staplerowa 12mm</t>
  </si>
  <si>
    <t xml:space="preserve">Sterylne, jednorazowe obłożenie przedłużenia ramienia robotycznego   </t>
  </si>
  <si>
    <t xml:space="preserve">Wielorazowy obturator 8 mm długości 10 cm  </t>
  </si>
  <si>
    <t>SUMA:</t>
  </si>
  <si>
    <t>Ilość w opadkowaniu</t>
  </si>
  <si>
    <t>3.2</t>
  </si>
  <si>
    <t>Reduktor 12-8 mm</t>
  </si>
  <si>
    <t>Kleszcze typu Cadiere</t>
  </si>
  <si>
    <t>Narzędzie do naczyń</t>
  </si>
  <si>
    <t>Zestawy narzędzi i akcesoriów jednorazowych potrzebnych do przeprowadzenia jednej procedury innych zabiegów brzusznych</t>
  </si>
  <si>
    <t xml:space="preserve">Zestawy narzędzi i akcesoriów jednorazowych potrzebnych do przeprowadzenia jednej procedury chirurgicznej </t>
  </si>
  <si>
    <t>Zestawy narzędzi i akcesoriów jednorazowych potrzebnych do przeprowadzenia jednej procedury urologicznej – prostatektomia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</si>
  <si>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</si>
  <si>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</si>
  <si>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</si>
  <si>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</si>
  <si>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</si>
  <si>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</si>
  <si>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</si>
  <si>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</si>
  <si>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</si>
  <si>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</si>
  <si>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</si>
  <si>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2.12</t>
  </si>
  <si>
    <t>2.13</t>
  </si>
  <si>
    <t>2.14</t>
  </si>
  <si>
    <t>2.15</t>
  </si>
  <si>
    <t>2.16</t>
  </si>
  <si>
    <t>2.17</t>
  </si>
  <si>
    <t>Narzędzia jednorazowe/wielorazowe - ilość użyć</t>
  </si>
  <si>
    <t>ZAŁĄCZNIK NR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</si>
</sst>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A"/>
      <name val="Times New Roman"/>
      <family val="1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b/>
      <sz val="10"/>
      <color rgb="FF00000A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A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3" fillId="0" borderId="0" xfId="2"/>
    <xf numFmtId="43" fontId="3" fillId="0" borderId="0" xfId="1" applyFont="1"/>
    <xf numFmtId="164" fontId="3" fillId="0" borderId="0" xfId="2" applyNumberFormat="1"/>
    <xf numFmtId="0" fontId="2" fillId="0" borderId="0" xfId="2" applyFont="1"/>
    <xf numFmtId="43" fontId="3" fillId="0" borderId="0" xfId="2" applyNumberFormat="1"/>
    <xf numFmtId="0" fontId="4" fillId="0" borderId="0" xfId="2" applyFont="1" applyAlignment="1">
      <alignment horizontal="right" vertical="center"/>
    </xf>
    <xf numFmtId="9" fontId="3" fillId="0" borderId="0" xfId="2" applyNumberFormat="1"/>
    <xf numFmtId="0" fontId="3" fillId="0" borderId="0" xfId="2" applyAlignment="1">
      <alignment horizontal="center"/>
    </xf>
    <xf numFmtId="0" fontId="3" fillId="0" borderId="0" xfId="2" applyAlignment="1">
      <alignment vertical="center"/>
    </xf>
    <xf numFmtId="0" fontId="5" fillId="0" borderId="0" xfId="2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9" fontId="7" fillId="0" borderId="1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quotePrefix="1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wrapText="1"/>
    </xf>
    <xf numFmtId="9" fontId="10" fillId="0" borderId="1" xfId="2" applyNumberFormat="1" applyFont="1" applyBorder="1" applyAlignment="1">
      <alignment horizontal="center" vertical="center" wrapText="1"/>
    </xf>
    <xf numFmtId="43" fontId="12" fillId="0" borderId="1" xfId="2" applyNumberFormat="1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quotePrefix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164" fontId="10" fillId="0" borderId="5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7" fillId="0" borderId="1" xfId="2" quotePrefix="1" applyFont="1" applyBorder="1" applyAlignment="1">
      <alignment horizontal="center" vertical="center" wrapText="1"/>
    </xf>
    <xf numFmtId="164" fontId="10" fillId="0" borderId="6" xfId="2" applyNumberFormat="1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/>
    </xf>
  </cellXfs>
  <cellStyles count="3">
    <cellStyle name="Dziesiętny" xfId="1" builtinId="3"/>
    <cellStyle name="Normalny" xfId="0" builtinId="0"/>
    <cellStyle name="Normalny 3" xfId="2" xr:uid="{3C87F170-F9C0-45FE-83C7-73B894487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B5FE-258C-4F66-857B-D4D45990A49D}">
  <sheetPr>
    <pageSetUpPr fitToPage="1"/>
  </sheetPr>
  <dimension ref="A1:M51"/>
  <sheetViews>
    <sheetView tabSelected="1" zoomScaleNormal="100" workbookViewId="0">
      <selection activeCell="G8" sqref="G8"/>
    </sheetView>
  </sheetViews>
  <sheetFormatPr defaultColWidth="8.7109375" defaultRowHeight="15" x14ac:dyDescent="0.25"/>
  <cols>
    <col min="1" max="1" width="8.7109375" style="1"/>
    <col min="2" max="2" width="49" style="1" customWidth="1"/>
    <col min="3" max="3" width="15" style="1" bestFit="1" customWidth="1"/>
    <col min="4" max="4" width="10.7109375" style="1" bestFit="1" customWidth="1"/>
    <col min="5" max="5" width="15.7109375" style="1" customWidth="1"/>
    <col min="6" max="6" width="12.28515625" style="8" bestFit="1" customWidth="1"/>
    <col min="7" max="7" width="12.5703125" style="1" customWidth="1"/>
    <col min="8" max="8" width="10.7109375" style="1" customWidth="1"/>
    <col min="9" max="9" width="12.5703125" style="1" customWidth="1"/>
    <col min="10" max="10" width="13.5703125" style="1" customWidth="1"/>
    <col min="11" max="11" width="9.140625" style="1" customWidth="1"/>
    <col min="12" max="12" width="14.42578125" style="1" customWidth="1"/>
    <col min="13" max="13" width="13.7109375" style="1" bestFit="1" customWidth="1"/>
    <col min="14" max="16384" width="8.7109375" style="1"/>
  </cols>
  <sheetData>
    <row r="1" spans="1:13" ht="36.75" customHeight="1" x14ac:dyDescent="0.25">
      <c r="A1" s="45" t="s">
        <v>89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39" thickBot="1" x14ac:dyDescent="0.3">
      <c r="A2" s="11" t="s">
        <v>0</v>
      </c>
      <c r="B2" s="11" t="s">
        <v>1</v>
      </c>
      <c r="C2" s="11" t="s">
        <v>2</v>
      </c>
      <c r="D2" s="12" t="s">
        <v>3</v>
      </c>
      <c r="E2" s="13" t="s">
        <v>88</v>
      </c>
      <c r="F2" s="11" t="s">
        <v>63</v>
      </c>
      <c r="G2" s="11" t="s">
        <v>4</v>
      </c>
      <c r="H2" s="11" t="s">
        <v>5</v>
      </c>
      <c r="I2" s="11" t="s">
        <v>6</v>
      </c>
      <c r="J2" s="11" t="s">
        <v>7</v>
      </c>
      <c r="K2" s="11" t="s">
        <v>5</v>
      </c>
      <c r="L2" s="11" t="s">
        <v>8</v>
      </c>
      <c r="M2" s="14" t="s">
        <v>9</v>
      </c>
    </row>
    <row r="3" spans="1:13" ht="39" thickBot="1" x14ac:dyDescent="0.3">
      <c r="A3" s="15">
        <v>1</v>
      </c>
      <c r="B3" s="11" t="s">
        <v>70</v>
      </c>
      <c r="C3" s="16" t="s">
        <v>10</v>
      </c>
      <c r="D3" s="17">
        <v>200</v>
      </c>
      <c r="E3" s="18"/>
      <c r="F3" s="15"/>
      <c r="G3" s="15"/>
      <c r="H3" s="19"/>
      <c r="I3" s="15"/>
      <c r="J3" s="15"/>
      <c r="K3" s="19"/>
      <c r="L3" s="20"/>
      <c r="M3" s="21" t="s">
        <v>11</v>
      </c>
    </row>
    <row r="4" spans="1:13" ht="25.5" x14ac:dyDescent="0.25">
      <c r="A4" s="22" t="s">
        <v>71</v>
      </c>
      <c r="B4" s="23" t="s">
        <v>13</v>
      </c>
      <c r="C4" s="24" t="s">
        <v>14</v>
      </c>
      <c r="D4" s="25">
        <f>D3</f>
        <v>200</v>
      </c>
      <c r="E4" s="26" t="s">
        <v>15</v>
      </c>
      <c r="F4" s="27">
        <v>1</v>
      </c>
      <c r="G4" s="28">
        <v>0</v>
      </c>
      <c r="H4" s="29"/>
      <c r="I4" s="30">
        <f>G4*(100%+H4)</f>
        <v>0</v>
      </c>
      <c r="J4" s="28">
        <f>G4*ROUNDUP(D4/10,0)</f>
        <v>0</v>
      </c>
      <c r="K4" s="29"/>
      <c r="L4" s="28">
        <f>J4*(100%+K4)</f>
        <v>0</v>
      </c>
      <c r="M4" s="31">
        <f>ROUNDUP(D4/10,0)</f>
        <v>20</v>
      </c>
    </row>
    <row r="5" spans="1:13" ht="25.5" x14ac:dyDescent="0.25">
      <c r="A5" s="22" t="s">
        <v>72</v>
      </c>
      <c r="B5" s="23" t="s">
        <v>17</v>
      </c>
      <c r="C5" s="24" t="s">
        <v>14</v>
      </c>
      <c r="D5" s="24">
        <f t="shared" ref="D5:D14" si="0">D4</f>
        <v>200</v>
      </c>
      <c r="E5" s="26" t="s">
        <v>18</v>
      </c>
      <c r="F5" s="27">
        <v>1</v>
      </c>
      <c r="G5" s="28">
        <v>0</v>
      </c>
      <c r="H5" s="29"/>
      <c r="I5" s="30">
        <f t="shared" ref="I5:I14" si="1">G5*(100%+H5)</f>
        <v>0</v>
      </c>
      <c r="J5" s="28">
        <f>G5*ROUNDUP(D5/14,0)</f>
        <v>0</v>
      </c>
      <c r="K5" s="29"/>
      <c r="L5" s="28">
        <f t="shared" ref="L5:L14" si="2">J5*(100%+K5)</f>
        <v>0</v>
      </c>
      <c r="M5" s="31">
        <f t="shared" ref="M5:M8" si="3">ROUNDUP(D5/10,0)</f>
        <v>20</v>
      </c>
    </row>
    <row r="6" spans="1:13" ht="25.5" x14ac:dyDescent="0.25">
      <c r="A6" s="22" t="s">
        <v>73</v>
      </c>
      <c r="B6" s="23" t="s">
        <v>20</v>
      </c>
      <c r="C6" s="24" t="s">
        <v>14</v>
      </c>
      <c r="D6" s="24">
        <f t="shared" si="0"/>
        <v>200</v>
      </c>
      <c r="E6" s="26" t="s">
        <v>21</v>
      </c>
      <c r="F6" s="27">
        <v>1</v>
      </c>
      <c r="G6" s="28">
        <v>0</v>
      </c>
      <c r="H6" s="29"/>
      <c r="I6" s="30">
        <f t="shared" si="1"/>
        <v>0</v>
      </c>
      <c r="J6" s="28">
        <f>G6*ROUNDUP(D6/18,0)</f>
        <v>0</v>
      </c>
      <c r="K6" s="29"/>
      <c r="L6" s="28">
        <f t="shared" si="2"/>
        <v>0</v>
      </c>
      <c r="M6" s="31">
        <f t="shared" si="3"/>
        <v>20</v>
      </c>
    </row>
    <row r="7" spans="1:13" ht="25.5" x14ac:dyDescent="0.25">
      <c r="A7" s="22" t="s">
        <v>74</v>
      </c>
      <c r="B7" s="23" t="s">
        <v>23</v>
      </c>
      <c r="C7" s="24" t="s">
        <v>14</v>
      </c>
      <c r="D7" s="24">
        <f t="shared" si="0"/>
        <v>200</v>
      </c>
      <c r="E7" s="26" t="s">
        <v>24</v>
      </c>
      <c r="F7" s="27">
        <v>1</v>
      </c>
      <c r="G7" s="28">
        <v>0</v>
      </c>
      <c r="H7" s="29"/>
      <c r="I7" s="30">
        <f t="shared" si="1"/>
        <v>0</v>
      </c>
      <c r="J7" s="28">
        <f>G7*ROUNDUP(D7/15,0)</f>
        <v>0</v>
      </c>
      <c r="K7" s="29"/>
      <c r="L7" s="28">
        <f t="shared" si="2"/>
        <v>0</v>
      </c>
      <c r="M7" s="31">
        <f t="shared" si="3"/>
        <v>20</v>
      </c>
    </row>
    <row r="8" spans="1:13" x14ac:dyDescent="0.25">
      <c r="A8" s="22" t="s">
        <v>75</v>
      </c>
      <c r="B8" s="23" t="s">
        <v>26</v>
      </c>
      <c r="C8" s="24" t="s">
        <v>14</v>
      </c>
      <c r="D8" s="24">
        <f t="shared" si="0"/>
        <v>200</v>
      </c>
      <c r="E8" s="26" t="s">
        <v>27</v>
      </c>
      <c r="F8" s="27">
        <v>10</v>
      </c>
      <c r="G8" s="28">
        <v>0</v>
      </c>
      <c r="H8" s="29"/>
      <c r="I8" s="30">
        <f t="shared" si="1"/>
        <v>0</v>
      </c>
      <c r="J8" s="28">
        <f>G8*ROUNDUP(D8/10,0)</f>
        <v>0</v>
      </c>
      <c r="K8" s="29"/>
      <c r="L8" s="28">
        <f t="shared" si="2"/>
        <v>0</v>
      </c>
      <c r="M8" s="31">
        <f t="shared" si="3"/>
        <v>20</v>
      </c>
    </row>
    <row r="9" spans="1:13" ht="25.5" x14ac:dyDescent="0.25">
      <c r="A9" s="22" t="s">
        <v>76</v>
      </c>
      <c r="B9" s="23" t="s">
        <v>29</v>
      </c>
      <c r="C9" s="24" t="s">
        <v>14</v>
      </c>
      <c r="D9" s="24">
        <f t="shared" si="0"/>
        <v>200</v>
      </c>
      <c r="E9" s="26" t="s">
        <v>30</v>
      </c>
      <c r="F9" s="27">
        <v>1</v>
      </c>
      <c r="G9" s="28">
        <v>0</v>
      </c>
      <c r="H9" s="29"/>
      <c r="I9" s="30">
        <f t="shared" si="1"/>
        <v>0</v>
      </c>
      <c r="J9" s="28">
        <f>G9*1</f>
        <v>0</v>
      </c>
      <c r="K9" s="29"/>
      <c r="L9" s="28">
        <f t="shared" si="2"/>
        <v>0</v>
      </c>
      <c r="M9" s="31">
        <v>1</v>
      </c>
    </row>
    <row r="10" spans="1:13" ht="25.5" x14ac:dyDescent="0.25">
      <c r="A10" s="22" t="s">
        <v>77</v>
      </c>
      <c r="B10" s="23" t="s">
        <v>32</v>
      </c>
      <c r="C10" s="24" t="s">
        <v>14</v>
      </c>
      <c r="D10" s="24">
        <f t="shared" si="0"/>
        <v>200</v>
      </c>
      <c r="E10" s="26" t="s">
        <v>30</v>
      </c>
      <c r="F10" s="27">
        <v>1</v>
      </c>
      <c r="G10" s="28">
        <v>0</v>
      </c>
      <c r="H10" s="29"/>
      <c r="I10" s="30">
        <f t="shared" si="1"/>
        <v>0</v>
      </c>
      <c r="J10" s="28">
        <f>G10*2</f>
        <v>0</v>
      </c>
      <c r="K10" s="29"/>
      <c r="L10" s="28">
        <f t="shared" si="2"/>
        <v>0</v>
      </c>
      <c r="M10" s="31">
        <v>2</v>
      </c>
    </row>
    <row r="11" spans="1:13" ht="25.5" x14ac:dyDescent="0.25">
      <c r="A11" s="22" t="s">
        <v>78</v>
      </c>
      <c r="B11" s="23" t="s">
        <v>34</v>
      </c>
      <c r="C11" s="24" t="s">
        <v>14</v>
      </c>
      <c r="D11" s="24">
        <f t="shared" si="0"/>
        <v>200</v>
      </c>
      <c r="E11" s="26" t="s">
        <v>30</v>
      </c>
      <c r="F11" s="27">
        <v>1</v>
      </c>
      <c r="G11" s="28">
        <v>0</v>
      </c>
      <c r="H11" s="29"/>
      <c r="I11" s="30">
        <f t="shared" si="1"/>
        <v>0</v>
      </c>
      <c r="J11" s="28">
        <f>G11*2</f>
        <v>0</v>
      </c>
      <c r="K11" s="29"/>
      <c r="L11" s="28">
        <f t="shared" si="2"/>
        <v>0</v>
      </c>
      <c r="M11" s="31">
        <v>2</v>
      </c>
    </row>
    <row r="12" spans="1:13" x14ac:dyDescent="0.25">
      <c r="A12" s="22" t="s">
        <v>79</v>
      </c>
      <c r="B12" s="23" t="s">
        <v>36</v>
      </c>
      <c r="C12" s="24" t="s">
        <v>14</v>
      </c>
      <c r="D12" s="24">
        <f t="shared" si="0"/>
        <v>200</v>
      </c>
      <c r="E12" s="26" t="s">
        <v>27</v>
      </c>
      <c r="F12" s="27">
        <v>20</v>
      </c>
      <c r="G12" s="28">
        <v>0</v>
      </c>
      <c r="H12" s="29"/>
      <c r="I12" s="30">
        <f t="shared" si="1"/>
        <v>0</v>
      </c>
      <c r="J12" s="28">
        <f>G12*D12*4/20</f>
        <v>0</v>
      </c>
      <c r="K12" s="29"/>
      <c r="L12" s="28">
        <f t="shared" si="2"/>
        <v>0</v>
      </c>
      <c r="M12" s="31">
        <f>ROUNDUP(D12*4/20,0)</f>
        <v>40</v>
      </c>
    </row>
    <row r="13" spans="1:13" ht="25.5" x14ac:dyDescent="0.25">
      <c r="A13" s="22" t="s">
        <v>80</v>
      </c>
      <c r="B13" s="23" t="s">
        <v>38</v>
      </c>
      <c r="C13" s="24" t="s">
        <v>14</v>
      </c>
      <c r="D13" s="24">
        <f t="shared" si="0"/>
        <v>200</v>
      </c>
      <c r="E13" s="26" t="s">
        <v>27</v>
      </c>
      <c r="F13" s="27">
        <v>20</v>
      </c>
      <c r="G13" s="28">
        <v>0</v>
      </c>
      <c r="H13" s="29"/>
      <c r="I13" s="30">
        <f t="shared" si="1"/>
        <v>0</v>
      </c>
      <c r="J13" s="28">
        <f>G13*D13/20</f>
        <v>0</v>
      </c>
      <c r="K13" s="29"/>
      <c r="L13" s="28">
        <f t="shared" si="2"/>
        <v>0</v>
      </c>
      <c r="M13" s="31">
        <f>ROUNDUP(D13/20,0)</f>
        <v>10</v>
      </c>
    </row>
    <row r="14" spans="1:13" ht="15.75" thickBot="1" x14ac:dyDescent="0.3">
      <c r="A14" s="22" t="s">
        <v>81</v>
      </c>
      <c r="B14" s="23" t="s">
        <v>40</v>
      </c>
      <c r="C14" s="24" t="s">
        <v>14</v>
      </c>
      <c r="D14" s="32">
        <f t="shared" si="0"/>
        <v>200</v>
      </c>
      <c r="E14" s="26" t="s">
        <v>27</v>
      </c>
      <c r="F14" s="27">
        <v>10</v>
      </c>
      <c r="G14" s="28">
        <v>0</v>
      </c>
      <c r="H14" s="29"/>
      <c r="I14" s="30">
        <f t="shared" si="1"/>
        <v>0</v>
      </c>
      <c r="J14" s="28">
        <f>G14*D14*4/10</f>
        <v>0</v>
      </c>
      <c r="K14" s="29"/>
      <c r="L14" s="28">
        <f t="shared" si="2"/>
        <v>0</v>
      </c>
      <c r="M14" s="31">
        <f>ROUNDUP(D14*4/10,0)</f>
        <v>80</v>
      </c>
    </row>
    <row r="15" spans="1:13" ht="26.25" thickBot="1" x14ac:dyDescent="0.3">
      <c r="A15" s="15">
        <v>2</v>
      </c>
      <c r="B15" s="11" t="s">
        <v>69</v>
      </c>
      <c r="C15" s="16" t="s">
        <v>10</v>
      </c>
      <c r="D15" s="17">
        <v>150</v>
      </c>
      <c r="E15" s="33"/>
      <c r="F15" s="34"/>
      <c r="G15" s="28">
        <v>0</v>
      </c>
      <c r="H15" s="29"/>
      <c r="I15" s="35"/>
      <c r="J15" s="35"/>
      <c r="K15" s="29"/>
      <c r="L15" s="35"/>
      <c r="M15" s="36" t="s">
        <v>11</v>
      </c>
    </row>
    <row r="16" spans="1:13" ht="25.5" x14ac:dyDescent="0.25">
      <c r="A16" s="22" t="s">
        <v>12</v>
      </c>
      <c r="B16" s="23" t="s">
        <v>13</v>
      </c>
      <c r="C16" s="37" t="s">
        <v>42</v>
      </c>
      <c r="D16" s="25">
        <f>D15</f>
        <v>150</v>
      </c>
      <c r="E16" s="26" t="s">
        <v>15</v>
      </c>
      <c r="F16" s="27">
        <v>1</v>
      </c>
      <c r="G16" s="28">
        <v>0</v>
      </c>
      <c r="H16" s="29"/>
      <c r="I16" s="28">
        <f>G16*(100%+8%)</f>
        <v>0</v>
      </c>
      <c r="J16" s="28">
        <f>G16*ROUNDUP(D16/10,0)</f>
        <v>0</v>
      </c>
      <c r="K16" s="29"/>
      <c r="L16" s="38">
        <f>J16*(100%+K16)</f>
        <v>0</v>
      </c>
      <c r="M16" s="31">
        <f t="shared" ref="M16:M19" si="4">ROUNDUP(D16/10,0)</f>
        <v>15</v>
      </c>
    </row>
    <row r="17" spans="1:13" ht="25.5" x14ac:dyDescent="0.25">
      <c r="A17" s="22" t="s">
        <v>16</v>
      </c>
      <c r="B17" s="23" t="s">
        <v>43</v>
      </c>
      <c r="C17" s="37" t="s">
        <v>42</v>
      </c>
      <c r="D17" s="25">
        <f>D15*50%</f>
        <v>75</v>
      </c>
      <c r="E17" s="26" t="s">
        <v>15</v>
      </c>
      <c r="F17" s="27">
        <v>1</v>
      </c>
      <c r="G17" s="28">
        <v>0</v>
      </c>
      <c r="H17" s="29"/>
      <c r="I17" s="28">
        <f t="shared" ref="I17:I31" si="5">G17*(100%+8%)</f>
        <v>0</v>
      </c>
      <c r="J17" s="28">
        <f>G17*ROUNDUP(D17/10,0)</f>
        <v>0</v>
      </c>
      <c r="K17" s="29"/>
      <c r="L17" s="38">
        <f t="shared" ref="L17:L32" si="6">J17*(100%+K17)</f>
        <v>0</v>
      </c>
      <c r="M17" s="31">
        <f t="shared" si="4"/>
        <v>8</v>
      </c>
    </row>
    <row r="18" spans="1:13" ht="25.5" x14ac:dyDescent="0.25">
      <c r="A18" s="22" t="s">
        <v>19</v>
      </c>
      <c r="B18" s="23" t="s">
        <v>66</v>
      </c>
      <c r="C18" s="37" t="s">
        <v>42</v>
      </c>
      <c r="D18" s="25">
        <f>D15*50%</f>
        <v>75</v>
      </c>
      <c r="E18" s="26" t="s">
        <v>21</v>
      </c>
      <c r="F18" s="27">
        <v>1</v>
      </c>
      <c r="G18" s="28">
        <v>0</v>
      </c>
      <c r="H18" s="29"/>
      <c r="I18" s="28">
        <f t="shared" si="5"/>
        <v>0</v>
      </c>
      <c r="J18" s="28">
        <f>G18*ROUNDUP(D18/18,0)</f>
        <v>0</v>
      </c>
      <c r="K18" s="29"/>
      <c r="L18" s="38">
        <f t="shared" si="6"/>
        <v>0</v>
      </c>
      <c r="M18" s="31">
        <f>ROUNDUP(D18/18,0)</f>
        <v>5</v>
      </c>
    </row>
    <row r="19" spans="1:13" ht="25.5" x14ac:dyDescent="0.25">
      <c r="A19" s="22" t="s">
        <v>22</v>
      </c>
      <c r="B19" s="23" t="s">
        <v>45</v>
      </c>
      <c r="C19" s="37" t="s">
        <v>42</v>
      </c>
      <c r="D19" s="25">
        <f>D15</f>
        <v>150</v>
      </c>
      <c r="E19" s="26" t="s">
        <v>18</v>
      </c>
      <c r="F19" s="27">
        <v>1</v>
      </c>
      <c r="G19" s="28">
        <v>0</v>
      </c>
      <c r="H19" s="29"/>
      <c r="I19" s="28">
        <f t="shared" si="5"/>
        <v>0</v>
      </c>
      <c r="J19" s="28">
        <f>G19*ROUNDUP(D19/14,0)</f>
        <v>0</v>
      </c>
      <c r="K19" s="29"/>
      <c r="L19" s="38">
        <f t="shared" si="6"/>
        <v>0</v>
      </c>
      <c r="M19" s="31">
        <f t="shared" si="4"/>
        <v>15</v>
      </c>
    </row>
    <row r="20" spans="1:13" x14ac:dyDescent="0.25">
      <c r="A20" s="22" t="s">
        <v>25</v>
      </c>
      <c r="B20" s="23" t="s">
        <v>47</v>
      </c>
      <c r="C20" s="37" t="s">
        <v>42</v>
      </c>
      <c r="D20" s="25">
        <f>D15*60%</f>
        <v>90</v>
      </c>
      <c r="E20" s="26" t="s">
        <v>27</v>
      </c>
      <c r="F20" s="27">
        <v>6</v>
      </c>
      <c r="G20" s="28">
        <v>0</v>
      </c>
      <c r="H20" s="29"/>
      <c r="I20" s="28">
        <f t="shared" si="5"/>
        <v>0</v>
      </c>
      <c r="J20" s="28">
        <f>G20*D20/6</f>
        <v>0</v>
      </c>
      <c r="K20" s="29"/>
      <c r="L20" s="38">
        <f t="shared" si="6"/>
        <v>0</v>
      </c>
      <c r="M20" s="31">
        <f>ROUNDUP(D20/6,0)</f>
        <v>15</v>
      </c>
    </row>
    <row r="21" spans="1:13" x14ac:dyDescent="0.25">
      <c r="A21" s="22" t="s">
        <v>28</v>
      </c>
      <c r="B21" s="23" t="s">
        <v>67</v>
      </c>
      <c r="C21" s="37" t="s">
        <v>42</v>
      </c>
      <c r="D21" s="25">
        <f>D15*50%</f>
        <v>75</v>
      </c>
      <c r="E21" s="26" t="s">
        <v>27</v>
      </c>
      <c r="F21" s="27">
        <v>6</v>
      </c>
      <c r="G21" s="28">
        <v>0</v>
      </c>
      <c r="H21" s="29"/>
      <c r="I21" s="28">
        <f t="shared" ref="I21" si="7">G21*(100%+8%)</f>
        <v>0</v>
      </c>
      <c r="J21" s="28">
        <f>G21*ROUNDUP(D21/6,0)</f>
        <v>0</v>
      </c>
      <c r="K21" s="29"/>
      <c r="L21" s="38">
        <f t="shared" ref="L21" si="8">J21*(100%+K21)</f>
        <v>0</v>
      </c>
      <c r="M21" s="31">
        <f>ROUNDUP(D21/6,0)</f>
        <v>13</v>
      </c>
    </row>
    <row r="22" spans="1:13" x14ac:dyDescent="0.25">
      <c r="A22" s="22" t="s">
        <v>31</v>
      </c>
      <c r="B22" s="23" t="s">
        <v>49</v>
      </c>
      <c r="C22" s="37" t="s">
        <v>42</v>
      </c>
      <c r="D22" s="25">
        <f>D15</f>
        <v>150</v>
      </c>
      <c r="E22" s="26" t="s">
        <v>27</v>
      </c>
      <c r="F22" s="27">
        <v>10</v>
      </c>
      <c r="G22" s="28">
        <v>0</v>
      </c>
      <c r="H22" s="29"/>
      <c r="I22" s="28">
        <f t="shared" si="5"/>
        <v>0</v>
      </c>
      <c r="J22" s="28">
        <f>G22*ROUNDUP(D22/10,0)</f>
        <v>0</v>
      </c>
      <c r="K22" s="29"/>
      <c r="L22" s="38">
        <f t="shared" si="6"/>
        <v>0</v>
      </c>
      <c r="M22" s="31">
        <f t="shared" ref="M22" si="9">ROUNDUP(D22/10,0)</f>
        <v>15</v>
      </c>
    </row>
    <row r="23" spans="1:13" ht="25.5" x14ac:dyDescent="0.25">
      <c r="A23" s="22" t="s">
        <v>33</v>
      </c>
      <c r="B23" s="23" t="s">
        <v>51</v>
      </c>
      <c r="C23" s="37" t="s">
        <v>42</v>
      </c>
      <c r="D23" s="25">
        <f>D15*60%</f>
        <v>90</v>
      </c>
      <c r="E23" s="26" t="s">
        <v>27</v>
      </c>
      <c r="F23" s="27">
        <v>12</v>
      </c>
      <c r="G23" s="28">
        <v>0</v>
      </c>
      <c r="H23" s="29"/>
      <c r="I23" s="28">
        <f t="shared" si="5"/>
        <v>0</v>
      </c>
      <c r="J23" s="28">
        <f>G23*D23*2/12</f>
        <v>0</v>
      </c>
      <c r="K23" s="29"/>
      <c r="L23" s="38">
        <f t="shared" si="6"/>
        <v>0</v>
      </c>
      <c r="M23" s="31">
        <f>ROUNDUP(D23*2/12,0)</f>
        <v>15</v>
      </c>
    </row>
    <row r="24" spans="1:13" ht="25.5" x14ac:dyDescent="0.25">
      <c r="A24" s="22" t="s">
        <v>35</v>
      </c>
      <c r="B24" s="23" t="s">
        <v>29</v>
      </c>
      <c r="C24" s="37" t="s">
        <v>42</v>
      </c>
      <c r="D24" s="25">
        <f>D15</f>
        <v>150</v>
      </c>
      <c r="E24" s="26" t="s">
        <v>30</v>
      </c>
      <c r="F24" s="27">
        <v>1</v>
      </c>
      <c r="G24" s="28">
        <v>0</v>
      </c>
      <c r="H24" s="29"/>
      <c r="I24" s="28">
        <f t="shared" si="5"/>
        <v>0</v>
      </c>
      <c r="J24" s="28">
        <f>G24*1</f>
        <v>0</v>
      </c>
      <c r="K24" s="29"/>
      <c r="L24" s="38">
        <f t="shared" si="6"/>
        <v>0</v>
      </c>
      <c r="M24" s="27">
        <v>1</v>
      </c>
    </row>
    <row r="25" spans="1:13" ht="25.5" x14ac:dyDescent="0.25">
      <c r="A25" s="22" t="s">
        <v>37</v>
      </c>
      <c r="B25" s="23" t="s">
        <v>32</v>
      </c>
      <c r="C25" s="37" t="s">
        <v>42</v>
      </c>
      <c r="D25" s="25">
        <f t="shared" ref="D25:D29" si="10">D16</f>
        <v>150</v>
      </c>
      <c r="E25" s="26" t="s">
        <v>30</v>
      </c>
      <c r="F25" s="27">
        <v>1</v>
      </c>
      <c r="G25" s="28">
        <v>0</v>
      </c>
      <c r="H25" s="29"/>
      <c r="I25" s="28">
        <f t="shared" si="5"/>
        <v>0</v>
      </c>
      <c r="J25" s="28">
        <f>G26*2</f>
        <v>0</v>
      </c>
      <c r="K25" s="29"/>
      <c r="L25" s="38">
        <f t="shared" si="6"/>
        <v>0</v>
      </c>
      <c r="M25" s="27">
        <v>2</v>
      </c>
    </row>
    <row r="26" spans="1:13" ht="25.5" x14ac:dyDescent="0.25">
      <c r="A26" s="22" t="s">
        <v>39</v>
      </c>
      <c r="B26" s="23" t="s">
        <v>34</v>
      </c>
      <c r="C26" s="37" t="s">
        <v>42</v>
      </c>
      <c r="D26" s="25">
        <f t="shared" si="10"/>
        <v>75</v>
      </c>
      <c r="E26" s="26" t="s">
        <v>30</v>
      </c>
      <c r="F26" s="27">
        <v>1</v>
      </c>
      <c r="G26" s="28">
        <v>0</v>
      </c>
      <c r="H26" s="29"/>
      <c r="I26" s="28">
        <f t="shared" si="5"/>
        <v>0</v>
      </c>
      <c r="J26" s="28">
        <f>G26*2</f>
        <v>0</v>
      </c>
      <c r="K26" s="29"/>
      <c r="L26" s="38">
        <f t="shared" si="6"/>
        <v>0</v>
      </c>
      <c r="M26" s="27">
        <v>2</v>
      </c>
    </row>
    <row r="27" spans="1:13" x14ac:dyDescent="0.25">
      <c r="A27" s="22" t="s">
        <v>82</v>
      </c>
      <c r="B27" s="23" t="s">
        <v>56</v>
      </c>
      <c r="C27" s="37" t="s">
        <v>42</v>
      </c>
      <c r="D27" s="25">
        <f t="shared" si="10"/>
        <v>75</v>
      </c>
      <c r="E27" s="26" t="s">
        <v>27</v>
      </c>
      <c r="F27" s="27">
        <v>20</v>
      </c>
      <c r="G27" s="28">
        <v>0</v>
      </c>
      <c r="H27" s="29"/>
      <c r="I27" s="28">
        <f t="shared" si="5"/>
        <v>0</v>
      </c>
      <c r="J27" s="28">
        <f>G27*D27*4/20</f>
        <v>0</v>
      </c>
      <c r="K27" s="29"/>
      <c r="L27" s="38">
        <f t="shared" si="6"/>
        <v>0</v>
      </c>
      <c r="M27" s="31">
        <f>ROUNDUP(D27*4/20,0)</f>
        <v>15</v>
      </c>
    </row>
    <row r="28" spans="1:13" ht="25.5" x14ac:dyDescent="0.25">
      <c r="A28" s="22" t="s">
        <v>83</v>
      </c>
      <c r="B28" s="23" t="s">
        <v>38</v>
      </c>
      <c r="C28" s="37" t="s">
        <v>42</v>
      </c>
      <c r="D28" s="25">
        <f t="shared" si="10"/>
        <v>150</v>
      </c>
      <c r="E28" s="26" t="s">
        <v>27</v>
      </c>
      <c r="F28" s="27">
        <v>20</v>
      </c>
      <c r="G28" s="28">
        <v>0</v>
      </c>
      <c r="H28" s="29"/>
      <c r="I28" s="28">
        <f t="shared" si="5"/>
        <v>0</v>
      </c>
      <c r="J28" s="28">
        <f>G28*D28/20</f>
        <v>0</v>
      </c>
      <c r="K28" s="29"/>
      <c r="L28" s="38">
        <f t="shared" si="6"/>
        <v>0</v>
      </c>
      <c r="M28" s="31">
        <f>ROUNDUP(D28*1/20,0)</f>
        <v>8</v>
      </c>
    </row>
    <row r="29" spans="1:13" ht="25.5" x14ac:dyDescent="0.25">
      <c r="A29" s="22" t="s">
        <v>84</v>
      </c>
      <c r="B29" s="23" t="s">
        <v>58</v>
      </c>
      <c r="C29" s="39" t="s">
        <v>42</v>
      </c>
      <c r="D29" s="25">
        <f t="shared" si="10"/>
        <v>90</v>
      </c>
      <c r="E29" s="26" t="s">
        <v>30</v>
      </c>
      <c r="F29" s="27">
        <v>1</v>
      </c>
      <c r="G29" s="28">
        <v>0</v>
      </c>
      <c r="H29" s="29"/>
      <c r="I29" s="28">
        <f t="shared" si="5"/>
        <v>0</v>
      </c>
      <c r="J29" s="28">
        <f>G29*2</f>
        <v>0</v>
      </c>
      <c r="K29" s="29"/>
      <c r="L29" s="38">
        <f t="shared" si="6"/>
        <v>0</v>
      </c>
      <c r="M29" s="27">
        <v>2</v>
      </c>
    </row>
    <row r="30" spans="1:13" x14ac:dyDescent="0.25">
      <c r="A30" s="22" t="s">
        <v>85</v>
      </c>
      <c r="B30" s="23" t="s">
        <v>59</v>
      </c>
      <c r="C30" s="39" t="s">
        <v>42</v>
      </c>
      <c r="D30" s="25">
        <f>D20</f>
        <v>90</v>
      </c>
      <c r="E30" s="26" t="s">
        <v>27</v>
      </c>
      <c r="F30" s="27">
        <v>10</v>
      </c>
      <c r="G30" s="28">
        <v>0</v>
      </c>
      <c r="H30" s="29"/>
      <c r="I30" s="28">
        <f t="shared" si="5"/>
        <v>0</v>
      </c>
      <c r="J30" s="28">
        <f>G30*D30/10</f>
        <v>0</v>
      </c>
      <c r="K30" s="29"/>
      <c r="L30" s="38">
        <f t="shared" si="6"/>
        <v>0</v>
      </c>
      <c r="M30" s="31">
        <f>ROUNDUP(D30/10,0)</f>
        <v>9</v>
      </c>
    </row>
    <row r="31" spans="1:13" x14ac:dyDescent="0.25">
      <c r="A31" s="22" t="s">
        <v>86</v>
      </c>
      <c r="B31" s="23" t="s">
        <v>40</v>
      </c>
      <c r="C31" s="39" t="s">
        <v>42</v>
      </c>
      <c r="D31" s="25">
        <f>D15</f>
        <v>150</v>
      </c>
      <c r="E31" s="26" t="s">
        <v>27</v>
      </c>
      <c r="F31" s="27">
        <v>10</v>
      </c>
      <c r="G31" s="28">
        <v>0</v>
      </c>
      <c r="H31" s="29"/>
      <c r="I31" s="28">
        <f t="shared" si="5"/>
        <v>0</v>
      </c>
      <c r="J31" s="28">
        <f>G31*D31*4/20</f>
        <v>0</v>
      </c>
      <c r="K31" s="29"/>
      <c r="L31" s="38">
        <f t="shared" si="6"/>
        <v>0</v>
      </c>
      <c r="M31" s="31">
        <f>ROUNDUP(D31*4/10,0)</f>
        <v>60</v>
      </c>
    </row>
    <row r="32" spans="1:13" ht="15.75" thickBot="1" x14ac:dyDescent="0.3">
      <c r="A32" s="22" t="s">
        <v>87</v>
      </c>
      <c r="B32" s="23" t="s">
        <v>65</v>
      </c>
      <c r="C32" s="39" t="s">
        <v>42</v>
      </c>
      <c r="D32" s="40">
        <f>D20</f>
        <v>90</v>
      </c>
      <c r="E32" s="26" t="s">
        <v>27</v>
      </c>
      <c r="F32" s="27">
        <v>6</v>
      </c>
      <c r="G32" s="28">
        <v>0</v>
      </c>
      <c r="H32" s="29"/>
      <c r="I32" s="28">
        <f t="shared" ref="I32" si="11">G32*(100%+8%)</f>
        <v>0</v>
      </c>
      <c r="J32" s="28">
        <f>G32*D32*1/6</f>
        <v>0</v>
      </c>
      <c r="K32" s="29"/>
      <c r="L32" s="38">
        <f t="shared" si="6"/>
        <v>0</v>
      </c>
      <c r="M32" s="31">
        <f>ROUNDUP(D32*1/6,0)</f>
        <v>15</v>
      </c>
    </row>
    <row r="33" spans="1:13" ht="39" thickBot="1" x14ac:dyDescent="0.3">
      <c r="A33" s="15">
        <v>3</v>
      </c>
      <c r="B33" s="11" t="s">
        <v>68</v>
      </c>
      <c r="C33" s="16" t="s">
        <v>10</v>
      </c>
      <c r="D33" s="17">
        <v>100</v>
      </c>
      <c r="E33" s="18"/>
      <c r="F33" s="15"/>
      <c r="G33" s="28">
        <v>0</v>
      </c>
      <c r="H33" s="29"/>
      <c r="I33" s="41"/>
      <c r="J33" s="15"/>
      <c r="K33" s="29"/>
      <c r="L33" s="15"/>
      <c r="M33" s="42" t="s">
        <v>11</v>
      </c>
    </row>
    <row r="34" spans="1:13" ht="25.5" x14ac:dyDescent="0.25">
      <c r="A34" s="22" t="s">
        <v>41</v>
      </c>
      <c r="B34" s="23" t="s">
        <v>13</v>
      </c>
      <c r="C34" s="37" t="s">
        <v>42</v>
      </c>
      <c r="D34" s="25">
        <f>D33</f>
        <v>100</v>
      </c>
      <c r="E34" s="26" t="s">
        <v>15</v>
      </c>
      <c r="F34" s="27">
        <v>1</v>
      </c>
      <c r="G34" s="28">
        <v>0</v>
      </c>
      <c r="H34" s="29"/>
      <c r="I34" s="30">
        <f>G34*(100%+H34)</f>
        <v>0</v>
      </c>
      <c r="J34" s="28">
        <f>G34*ROUNDUP(D34/10,0)</f>
        <v>0</v>
      </c>
      <c r="K34" s="29"/>
      <c r="L34" s="38">
        <f>J34*(100%+K34)</f>
        <v>0</v>
      </c>
      <c r="M34" s="31">
        <f t="shared" ref="M34" si="12">ROUNDUP(D34/10,0)</f>
        <v>10</v>
      </c>
    </row>
    <row r="35" spans="1:13" ht="25.5" x14ac:dyDescent="0.25">
      <c r="A35" s="22" t="s">
        <v>64</v>
      </c>
      <c r="B35" s="23" t="s">
        <v>17</v>
      </c>
      <c r="C35" s="37" t="s">
        <v>42</v>
      </c>
      <c r="D35" s="24">
        <f t="shared" ref="D35:D44" si="13">D34</f>
        <v>100</v>
      </c>
      <c r="E35" s="26" t="s">
        <v>18</v>
      </c>
      <c r="F35" s="27">
        <v>1</v>
      </c>
      <c r="G35" s="28">
        <v>0</v>
      </c>
      <c r="H35" s="29"/>
      <c r="I35" s="30">
        <f t="shared" ref="I35:I44" si="14">G35*(100%+H35)</f>
        <v>0</v>
      </c>
      <c r="J35" s="28">
        <f>G35*ROUNDUP(D35/14,0)</f>
        <v>0</v>
      </c>
      <c r="K35" s="29"/>
      <c r="L35" s="38">
        <f t="shared" ref="L35:L43" si="15">J35*(100%+K35)</f>
        <v>0</v>
      </c>
      <c r="M35" s="31">
        <f>ROUNDUP(D35/14,0)</f>
        <v>8</v>
      </c>
    </row>
    <row r="36" spans="1:13" ht="25.5" x14ac:dyDescent="0.25">
      <c r="A36" s="22" t="s">
        <v>44</v>
      </c>
      <c r="B36" s="23" t="s">
        <v>20</v>
      </c>
      <c r="C36" s="39" t="s">
        <v>42</v>
      </c>
      <c r="D36" s="24">
        <f t="shared" si="13"/>
        <v>100</v>
      </c>
      <c r="E36" s="26" t="s">
        <v>21</v>
      </c>
      <c r="F36" s="27">
        <v>1</v>
      </c>
      <c r="G36" s="28">
        <v>0</v>
      </c>
      <c r="H36" s="29"/>
      <c r="I36" s="30">
        <f t="shared" si="14"/>
        <v>0</v>
      </c>
      <c r="J36" s="28">
        <f>G36*ROUNDUP(D36/18,0)</f>
        <v>0</v>
      </c>
      <c r="K36" s="29"/>
      <c r="L36" s="38">
        <f t="shared" si="15"/>
        <v>0</v>
      </c>
      <c r="M36" s="31">
        <f>ROUNDUP(D36/18,0)</f>
        <v>6</v>
      </c>
    </row>
    <row r="37" spans="1:13" ht="25.5" x14ac:dyDescent="0.25">
      <c r="A37" s="22" t="s">
        <v>46</v>
      </c>
      <c r="B37" s="23" t="s">
        <v>23</v>
      </c>
      <c r="C37" s="31" t="s">
        <v>42</v>
      </c>
      <c r="D37" s="24">
        <f t="shared" si="13"/>
        <v>100</v>
      </c>
      <c r="E37" s="26" t="s">
        <v>24</v>
      </c>
      <c r="F37" s="27">
        <v>1</v>
      </c>
      <c r="G37" s="28">
        <v>0</v>
      </c>
      <c r="H37" s="29"/>
      <c r="I37" s="30">
        <f t="shared" si="14"/>
        <v>0</v>
      </c>
      <c r="J37" s="28">
        <f>G37*ROUNDUP(D37/15,0)</f>
        <v>0</v>
      </c>
      <c r="K37" s="29"/>
      <c r="L37" s="38">
        <f t="shared" si="15"/>
        <v>0</v>
      </c>
      <c r="M37" s="31">
        <f t="shared" ref="M37" si="16">ROUNDUP(D37/18,0)</f>
        <v>6</v>
      </c>
    </row>
    <row r="38" spans="1:13" x14ac:dyDescent="0.25">
      <c r="A38" s="22" t="s">
        <v>48</v>
      </c>
      <c r="B38" s="23" t="s">
        <v>26</v>
      </c>
      <c r="C38" s="37" t="s">
        <v>42</v>
      </c>
      <c r="D38" s="24">
        <f t="shared" si="13"/>
        <v>100</v>
      </c>
      <c r="E38" s="26" t="s">
        <v>27</v>
      </c>
      <c r="F38" s="27">
        <v>10</v>
      </c>
      <c r="G38" s="28">
        <v>0</v>
      </c>
      <c r="H38" s="29"/>
      <c r="I38" s="30">
        <f t="shared" si="14"/>
        <v>0</v>
      </c>
      <c r="J38" s="28">
        <f>G38*ROUNDUP(D38/10,0)</f>
        <v>0</v>
      </c>
      <c r="K38" s="29"/>
      <c r="L38" s="38">
        <f t="shared" si="15"/>
        <v>0</v>
      </c>
      <c r="M38" s="31">
        <f>ROUNDUP(D38/10,0)</f>
        <v>10</v>
      </c>
    </row>
    <row r="39" spans="1:13" x14ac:dyDescent="0.25">
      <c r="A39" s="22" t="s">
        <v>50</v>
      </c>
      <c r="B39" s="23" t="s">
        <v>56</v>
      </c>
      <c r="C39" s="37" t="s">
        <v>42</v>
      </c>
      <c r="D39" s="24">
        <f t="shared" si="13"/>
        <v>100</v>
      </c>
      <c r="E39" s="26" t="s">
        <v>27</v>
      </c>
      <c r="F39" s="27">
        <v>20</v>
      </c>
      <c r="G39" s="28">
        <v>0</v>
      </c>
      <c r="H39" s="29"/>
      <c r="I39" s="30">
        <f t="shared" si="14"/>
        <v>0</v>
      </c>
      <c r="J39" s="28">
        <f t="shared" ref="J39:J40" si="17">G39*ROUNDUP(D39/15,0)</f>
        <v>0</v>
      </c>
      <c r="K39" s="29"/>
      <c r="L39" s="38">
        <f t="shared" si="15"/>
        <v>0</v>
      </c>
      <c r="M39" s="31">
        <f>ROUNDUP(D39*4/20,0)</f>
        <v>20</v>
      </c>
    </row>
    <row r="40" spans="1:13" ht="25.5" x14ac:dyDescent="0.25">
      <c r="A40" s="22" t="s">
        <v>52</v>
      </c>
      <c r="B40" s="23" t="s">
        <v>60</v>
      </c>
      <c r="C40" s="39" t="s">
        <v>42</v>
      </c>
      <c r="D40" s="24">
        <f t="shared" si="13"/>
        <v>100</v>
      </c>
      <c r="E40" s="26" t="s">
        <v>27</v>
      </c>
      <c r="F40" s="27">
        <v>20</v>
      </c>
      <c r="G40" s="28">
        <v>0</v>
      </c>
      <c r="H40" s="29"/>
      <c r="I40" s="30">
        <f t="shared" si="14"/>
        <v>0</v>
      </c>
      <c r="J40" s="28">
        <f t="shared" si="17"/>
        <v>0</v>
      </c>
      <c r="K40" s="29"/>
      <c r="L40" s="38">
        <f t="shared" si="15"/>
        <v>0</v>
      </c>
      <c r="M40" s="31">
        <f>ROUNDUP(D40*1/20,0)</f>
        <v>5</v>
      </c>
    </row>
    <row r="41" spans="1:13" ht="25.5" x14ac:dyDescent="0.25">
      <c r="A41" s="22" t="s">
        <v>53</v>
      </c>
      <c r="B41" s="23" t="s">
        <v>61</v>
      </c>
      <c r="C41" s="31" t="s">
        <v>42</v>
      </c>
      <c r="D41" s="24">
        <f t="shared" si="13"/>
        <v>100</v>
      </c>
      <c r="E41" s="26" t="s">
        <v>30</v>
      </c>
      <c r="F41" s="27">
        <v>1</v>
      </c>
      <c r="G41" s="28">
        <v>0</v>
      </c>
      <c r="H41" s="29"/>
      <c r="I41" s="30">
        <f t="shared" si="14"/>
        <v>0</v>
      </c>
      <c r="J41" s="43">
        <f>G41*1</f>
        <v>0</v>
      </c>
      <c r="K41" s="29"/>
      <c r="L41" s="38">
        <f t="shared" si="15"/>
        <v>0</v>
      </c>
      <c r="M41" s="31">
        <v>1</v>
      </c>
    </row>
    <row r="42" spans="1:13" ht="25.5" x14ac:dyDescent="0.25">
      <c r="A42" s="22" t="s">
        <v>54</v>
      </c>
      <c r="B42" s="23" t="s">
        <v>32</v>
      </c>
      <c r="C42" s="37" t="s">
        <v>42</v>
      </c>
      <c r="D42" s="24">
        <f t="shared" si="13"/>
        <v>100</v>
      </c>
      <c r="E42" s="26" t="s">
        <v>30</v>
      </c>
      <c r="F42" s="27">
        <v>1</v>
      </c>
      <c r="G42" s="28">
        <v>0</v>
      </c>
      <c r="H42" s="29"/>
      <c r="I42" s="30">
        <f t="shared" si="14"/>
        <v>0</v>
      </c>
      <c r="J42" s="43">
        <f>G42*1</f>
        <v>0</v>
      </c>
      <c r="K42" s="29"/>
      <c r="L42" s="38">
        <f t="shared" si="15"/>
        <v>0</v>
      </c>
      <c r="M42" s="31">
        <v>1</v>
      </c>
    </row>
    <row r="43" spans="1:13" ht="25.5" x14ac:dyDescent="0.25">
      <c r="A43" s="22" t="s">
        <v>55</v>
      </c>
      <c r="B43" s="23" t="s">
        <v>34</v>
      </c>
      <c r="C43" s="37" t="s">
        <v>42</v>
      </c>
      <c r="D43" s="24">
        <f t="shared" si="13"/>
        <v>100</v>
      </c>
      <c r="E43" s="26" t="s">
        <v>30</v>
      </c>
      <c r="F43" s="27">
        <v>1</v>
      </c>
      <c r="G43" s="28">
        <v>0</v>
      </c>
      <c r="H43" s="29"/>
      <c r="I43" s="30">
        <f t="shared" si="14"/>
        <v>0</v>
      </c>
      <c r="J43" s="43">
        <f>G43*1</f>
        <v>0</v>
      </c>
      <c r="K43" s="29"/>
      <c r="L43" s="38">
        <f t="shared" si="15"/>
        <v>0</v>
      </c>
      <c r="M43" s="31">
        <v>1</v>
      </c>
    </row>
    <row r="44" spans="1:13" x14ac:dyDescent="0.25">
      <c r="A44" s="22" t="s">
        <v>57</v>
      </c>
      <c r="B44" s="23" t="s">
        <v>40</v>
      </c>
      <c r="C44" s="39" t="s">
        <v>42</v>
      </c>
      <c r="D44" s="24">
        <f t="shared" si="13"/>
        <v>100</v>
      </c>
      <c r="E44" s="26" t="s">
        <v>27</v>
      </c>
      <c r="F44" s="27">
        <v>10</v>
      </c>
      <c r="G44" s="28">
        <v>0</v>
      </c>
      <c r="H44" s="29"/>
      <c r="I44" s="30">
        <f t="shared" si="14"/>
        <v>0</v>
      </c>
      <c r="J44" s="43">
        <f>G44*D44*4/10</f>
        <v>0</v>
      </c>
      <c r="K44" s="29"/>
      <c r="L44" s="38">
        <f>J44*(100%+K44)</f>
        <v>0</v>
      </c>
      <c r="M44" s="31">
        <f>ROUNDUP(D44*4/10,0)</f>
        <v>40</v>
      </c>
    </row>
    <row r="45" spans="1:13" x14ac:dyDescent="0.25">
      <c r="A45" s="44"/>
      <c r="B45" s="44"/>
      <c r="C45" s="44"/>
      <c r="D45" s="44"/>
      <c r="E45" s="44"/>
      <c r="F45" s="44"/>
      <c r="G45" s="44"/>
      <c r="H45" s="44"/>
      <c r="I45" s="15" t="s">
        <v>62</v>
      </c>
      <c r="J45" s="41">
        <f>SUM(J3:J44)</f>
        <v>0</v>
      </c>
      <c r="K45" s="41"/>
      <c r="L45" s="41">
        <f>SUM(L3:L44)</f>
        <v>0</v>
      </c>
      <c r="M45" s="31"/>
    </row>
    <row r="46" spans="1:13" ht="24" customHeight="1" x14ac:dyDescent="0.25">
      <c r="B46" s="9"/>
      <c r="D46" s="10"/>
    </row>
    <row r="47" spans="1:13" ht="45" customHeight="1" x14ac:dyDescent="0.25">
      <c r="D47" s="3"/>
      <c r="L47" s="2"/>
    </row>
    <row r="48" spans="1:13" x14ac:dyDescent="0.25">
      <c r="L48" s="3"/>
      <c r="M48" s="7"/>
    </row>
    <row r="49" spans="2:12" x14ac:dyDescent="0.25">
      <c r="B49" s="4"/>
      <c r="C49" s="3"/>
      <c r="L49" s="5"/>
    </row>
    <row r="50" spans="2:12" x14ac:dyDescent="0.25">
      <c r="B50" s="4"/>
      <c r="C50" s="3"/>
      <c r="J50" s="6"/>
    </row>
    <row r="51" spans="2:12" x14ac:dyDescent="0.25">
      <c r="K51" s="6"/>
    </row>
  </sheetData>
  <mergeCells count="2">
    <mergeCell ref="A45:H45"/>
    <mergeCell ref="A1:M1"/>
  </mergeCells>
  <phoneticPr fontId="6" type="noConversion"/>
  <pageMargins left="0.25" right="0.25" top="0.75" bottom="0.75" header="0.3" footer="0.3"/>
  <pageSetup paperSize="9" scale="7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 I&amp;A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Ostrowski</dc:creator>
  <cp:lastModifiedBy>24wszk23</cp:lastModifiedBy>
  <cp:lastPrinted>2024-09-27T07:23:39Z</cp:lastPrinted>
  <dcterms:created xsi:type="dcterms:W3CDTF">2024-09-18T16:16:55Z</dcterms:created>
  <dcterms:modified xsi:type="dcterms:W3CDTF">2024-10-01T08:43:36Z</dcterms:modified>
</cp:coreProperties>
</file>